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6" windowHeight="96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<sst xmlns="http://schemas.openxmlformats.org/spreadsheetml/2006/main" count="53" uniqueCount="39">
  <si>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Capitalization</t>
  </si>
  <si>
    <t>Shares</t>
  </si>
  <si>
    <t>Share Price</t>
  </si>
  <si>
    <t>Month</t>
  </si>
  <si>
    <t>ANGEL CAPITAL</t>
  </si>
  <si>
    <t>Meaningless</t>
  </si>
  <si>
    <t>Dilution</t>
  </si>
  <si>
    <t>Amount Raised</t>
  </si>
  <si>
    <t>Investor</t>
  </si>
  <si>
    <t>(return/yr.)</t>
  </si>
  <si>
    <t>(return/mo.)</t>
  </si>
  <si>
    <t>(/month)</t>
  </si>
  <si>
    <t>(/year)</t>
  </si>
  <si>
    <t>VENTURE CAPITAL (FIRST)</t>
  </si>
  <si>
    <t>VENTURE CAPITAL (SECOND)</t>
  </si>
  <si>
    <t>(total)</t>
  </si>
  <si>
    <t>= options</t>
  </si>
  <si>
    <t>= cross-check</t>
  </si>
  <si>
    <t>BRIDGE FINANCING</t>
  </si>
  <si>
    <t>FOUNDERS, FAMILY &amp; FRIENDS</t>
  </si>
  <si>
    <t>A</t>
  </si>
  <si>
    <t>G</t>
  </si>
  <si>
    <t>R</t>
  </si>
  <si>
    <t>E</t>
  </si>
  <si>
    <t>P</t>
  </si>
  <si>
    <t>S</t>
  </si>
  <si>
    <t>H</t>
  </si>
  <si>
    <t>ROUND OF CAPITAL RAISING</t>
  </si>
  <si>
    <t>ROI to IPO</t>
  </si>
  <si>
    <t>Not Meaningful</t>
  </si>
  <si>
    <t xml:space="preserve">Founders … </t>
  </si>
  <si>
    <t>(est./mo.)</t>
  </si>
  <si>
    <t>INITIAL PUBLIC OFFERING  (IPO)</t>
  </si>
  <si>
    <t>RETURN ON INVESTMENT (ROI) to next ROUND</t>
  </si>
  <si>
    <t>Net Burn Rate</t>
  </si>
  <si>
    <t xml:space="preserve">T </t>
  </si>
  <si>
    <t>(return by round)</t>
  </si>
  <si>
    <t>(multiple by round)</t>
  </si>
  <si>
    <r>
      <t xml:space="preserve">Note:  </t>
    </r>
    <r>
      <rPr>
        <i/>
        <sz val="10"/>
        <color indexed="30"/>
        <rFont val="Arial"/>
        <family val="2"/>
      </rPr>
      <t>Blue</t>
    </r>
    <r>
      <rPr>
        <i/>
        <sz val="10"/>
        <rFont val="Arial"/>
        <family val="2"/>
      </rPr>
      <t xml:space="preserve"> values and numbers inside parentheses can be altered; all other values are calculated as a result.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</si>
</sst>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(incl.&quot;\ ##,##0\ &quot;options/mo.)&quot;"/>
    <numFmt numFmtId="168" formatCode="&quot;INITIAL PUBLIC OFFERING  (&quot;#,###&quot;x split)&quot;"/>
    <numFmt numFmtId="169" formatCode="#,##0.0\ %&quot;   &quot;"/>
    <numFmt numFmtId="170" formatCode="&quot;   &quot;&quot;$&quot;* \ \ \ ###,##0&quot;  &quot;"/>
    <numFmt numFmtId="171" formatCode="#,###,##0.0&quot;   &quot;"/>
    <numFmt numFmtId="172" formatCode="&quot;   &quot;&quot;$&quot;* \ \ ###,###,##0&quot;  &quot;"/>
    <numFmt numFmtId="173" formatCode="&quot;       &quot;&quot;$&quot;* \ \ ###,###,##0&quot;  &quot;"/>
    <numFmt numFmtId="174" formatCode="&quot;       &quot;&quot;$&quot;* \ \ #,##0.00&quot;  &quot;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919C8"/>
      <name val="Arial"/>
      <family val="2"/>
    </font>
    <font>
      <b/>
      <sz val="9"/>
      <color rgb="FF1919C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44" applyNumberFormat="1" applyFont="1" applyAlignment="1">
      <alignment vertical="center"/>
    </xf>
    <xf numFmtId="165" fontId="2" fillId="0" borderId="0" xfId="44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44" applyNumberFormat="1" applyFont="1" applyAlignment="1">
      <alignment horizontal="center" vertical="center"/>
    </xf>
    <xf numFmtId="164" fontId="0" fillId="0" borderId="0" xfId="42" applyNumberFormat="1" applyFont="1" applyAlignment="1">
      <alignment vertical="center"/>
    </xf>
    <xf numFmtId="9" fontId="0" fillId="0" borderId="0" xfId="57" applyFont="1" applyAlignment="1">
      <alignment vertical="center"/>
    </xf>
    <xf numFmtId="9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164" fontId="0" fillId="33" borderId="0" xfId="42" applyNumberFormat="1" applyFont="1" applyFill="1" applyAlignment="1">
      <alignment vertical="center"/>
    </xf>
    <xf numFmtId="165" fontId="0" fillId="33" borderId="0" xfId="44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64" fontId="0" fillId="33" borderId="10" xfId="42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65" fontId="0" fillId="33" borderId="10" xfId="44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64" fontId="2" fillId="33" borderId="0" xfId="42" applyNumberFormat="1" applyFont="1" applyFill="1" applyAlignment="1">
      <alignment horizontal="center" vertical="center"/>
    </xf>
    <xf numFmtId="0" fontId="2" fillId="33" borderId="0" xfId="0" applyFont="1" applyFill="1" applyAlignment="1" quotePrefix="1">
      <alignment horizontal="center" vertical="center"/>
    </xf>
    <xf numFmtId="165" fontId="2" fillId="33" borderId="0" xfId="44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2" fillId="33" borderId="0" xfId="42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44" applyNumberFormat="1" applyFont="1" applyFill="1" applyAlignment="1" quotePrefix="1">
      <alignment horizontal="center" vertical="center"/>
    </xf>
    <xf numFmtId="0" fontId="3" fillId="33" borderId="0" xfId="0" applyFont="1" applyFill="1" applyAlignment="1">
      <alignment horizontal="center" vertical="center"/>
    </xf>
    <xf numFmtId="165" fontId="2" fillId="33" borderId="0" xfId="44" applyNumberFormat="1" applyFont="1" applyFill="1" applyAlignment="1">
      <alignment vertical="center"/>
    </xf>
    <xf numFmtId="6" fontId="3" fillId="33" borderId="0" xfId="0" applyNumberFormat="1" applyFont="1" applyFill="1" applyAlignment="1">
      <alignment vertical="center"/>
    </xf>
    <xf numFmtId="9" fontId="2" fillId="33" borderId="0" xfId="0" applyNumberFormat="1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172" fontId="46" fillId="33" borderId="0" xfId="42" applyNumberFormat="1" applyFont="1" applyFill="1" applyAlignment="1">
      <alignment vertical="center"/>
    </xf>
    <xf numFmtId="169" fontId="2" fillId="33" borderId="0" xfId="0" applyNumberFormat="1" applyFont="1" applyFill="1" applyAlignment="1">
      <alignment vertical="center"/>
    </xf>
    <xf numFmtId="169" fontId="2" fillId="33" borderId="0" xfId="44" applyNumberFormat="1" applyFont="1" applyFill="1" applyAlignment="1">
      <alignment vertical="center"/>
    </xf>
    <xf numFmtId="172" fontId="2" fillId="33" borderId="0" xfId="42" applyNumberFormat="1" applyFont="1" applyFill="1" applyAlignment="1">
      <alignment vertical="center"/>
    </xf>
    <xf numFmtId="171" fontId="2" fillId="33" borderId="0" xfId="42" applyNumberFormat="1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169" fontId="2" fillId="33" borderId="0" xfId="57" applyNumberFormat="1" applyFont="1" applyFill="1" applyAlignment="1">
      <alignment vertical="center"/>
    </xf>
    <xf numFmtId="164" fontId="0" fillId="33" borderId="0" xfId="42" applyNumberFormat="1" applyFont="1" applyFill="1" applyAlignment="1">
      <alignment vertical="center"/>
    </xf>
    <xf numFmtId="9" fontId="2" fillId="33" borderId="0" xfId="57" applyFont="1" applyFill="1" applyAlignment="1">
      <alignment horizontal="center" vertical="center"/>
    </xf>
    <xf numFmtId="171" fontId="2" fillId="33" borderId="0" xfId="42" applyNumberFormat="1" applyFont="1" applyFill="1" applyAlignment="1">
      <alignment horizontal="right" vertical="center"/>
    </xf>
    <xf numFmtId="172" fontId="7" fillId="33" borderId="0" xfId="42" applyNumberFormat="1" applyFont="1" applyFill="1" applyAlignment="1">
      <alignment vertical="center"/>
    </xf>
    <xf numFmtId="0" fontId="3" fillId="33" borderId="0" xfId="0" applyFont="1" applyFill="1" applyAlignment="1" quotePrefix="1">
      <alignment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64" fontId="6" fillId="33" borderId="10" xfId="42" applyNumberFormat="1" applyFont="1" applyFill="1" applyBorder="1" applyAlignment="1">
      <alignment vertical="center"/>
    </xf>
    <xf numFmtId="165" fontId="2" fillId="33" borderId="10" xfId="44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vertical="center"/>
    </xf>
    <xf numFmtId="164" fontId="6" fillId="33" borderId="0" xfId="42" applyNumberFormat="1" applyFont="1" applyFill="1" applyAlignment="1">
      <alignment vertical="center"/>
    </xf>
    <xf numFmtId="165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164" fontId="3" fillId="33" borderId="0" xfId="42" applyNumberFormat="1" applyFont="1" applyFill="1" applyAlignment="1">
      <alignment vertical="center"/>
    </xf>
    <xf numFmtId="164" fontId="46" fillId="33" borderId="0" xfId="42" applyNumberFormat="1" applyFont="1" applyFill="1" applyAlignment="1">
      <alignment vertical="center"/>
    </xf>
    <xf numFmtId="174" fontId="2" fillId="33" borderId="0" xfId="44" applyNumberFormat="1" applyFont="1" applyFill="1" applyAlignment="1">
      <alignment vertical="center"/>
    </xf>
    <xf numFmtId="168" fontId="4" fillId="33" borderId="0" xfId="0" applyNumberFormat="1" applyFont="1" applyFill="1" applyAlignment="1">
      <alignment vertical="center"/>
    </xf>
    <xf numFmtId="164" fontId="2" fillId="33" borderId="10" xfId="42" applyNumberFormat="1" applyFont="1" applyFill="1" applyBorder="1" applyAlignment="1">
      <alignment vertical="center"/>
    </xf>
    <xf numFmtId="44" fontId="2" fillId="33" borderId="0" xfId="0" applyNumberFormat="1" applyFont="1" applyFill="1" applyAlignment="1" quotePrefix="1">
      <alignment vertical="center"/>
    </xf>
    <xf numFmtId="165" fontId="0" fillId="33" borderId="0" xfId="44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166" fontId="2" fillId="33" borderId="0" xfId="57" applyNumberFormat="1" applyFont="1" applyFill="1" applyAlignment="1">
      <alignment horizontal="center" vertical="center"/>
    </xf>
    <xf numFmtId="164" fontId="47" fillId="33" borderId="0" xfId="42" applyNumberFormat="1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 quotePrefix="1">
      <alignment horizontal="center" vertical="center"/>
    </xf>
    <xf numFmtId="169" fontId="46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9" fontId="2" fillId="33" borderId="0" xfId="57" applyFont="1" applyFill="1" applyAlignment="1">
      <alignment horizontal="center" vertical="center"/>
    </xf>
    <xf numFmtId="165" fontId="2" fillId="33" borderId="0" xfId="44" applyNumberFormat="1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170" fontId="2" fillId="33" borderId="0" xfId="44" applyNumberFormat="1" applyFont="1" applyFill="1" applyAlignment="1">
      <alignment horizontal="center" vertical="center"/>
    </xf>
    <xf numFmtId="9" fontId="2" fillId="33" borderId="0" xfId="57" applyFont="1" applyFill="1" applyAlignment="1">
      <alignment horizontal="left" vertical="center"/>
    </xf>
    <xf numFmtId="172" fontId="49" fillId="33" borderId="10" xfId="0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4" fontId="0" fillId="0" borderId="0" xfId="0" applyNumberFormat="1" applyAlignment="1">
      <alignment horizontal="right" vertical="center"/>
    </xf>
    <xf numFmtId="169" fontId="2" fillId="33" borderId="0" xfId="57" applyNumberFormat="1" applyFont="1" applyFill="1" applyAlignment="1">
      <alignment horizontal="center" vertical="center"/>
    </xf>
    <xf numFmtId="173" fontId="2" fillId="33" borderId="0" xfId="42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9" fontId="2" fillId="33" borderId="0" xfId="57" applyFont="1" applyFill="1" applyAlignment="1">
      <alignment horizontal="center" vertical="center"/>
    </xf>
    <xf numFmtId="169" fontId="2" fillId="33" borderId="0" xfId="57" applyNumberFormat="1" applyFont="1" applyFill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10" fillId="33" borderId="0" xfId="0" applyFont="1" applyFill="1" applyAlignment="1">
      <alignment vertical="center"/>
    </xf>
    <xf numFmtId="165" fontId="2" fillId="33" borderId="0" xfId="44" applyNumberFormat="1" applyFont="1" applyFill="1" applyAlignment="1">
      <alignment horizontal="center" vertical="center"/>
    </xf>
    <xf numFmtId="165" fontId="2" fillId="33" borderId="0" xfId="44" applyNumberFormat="1" applyFont="1" applyFill="1" applyAlignment="1">
      <alignment horizontal="right" vertical="center"/>
    </xf>
    <xf numFmtId="167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8.8515625" style="3" customWidth="1"/>
    <col min="2" max="2" width="8.8515625" style="7" customWidth="1"/>
    <col min="3" max="3" width="31.57421875" style="1" customWidth="1"/>
    <col min="4" max="4" width="8.7109375" style="2" customWidth="1"/>
    <col min="5" max="5" width="17.8515625" style="9" customWidth="1"/>
    <col min="6" max="6" width="15.7109375" style="3" customWidth="1"/>
    <col min="7" max="7" width="6.7109375" style="3" customWidth="1"/>
    <col min="8" max="8" width="15.7109375" style="4" customWidth="1"/>
    <col min="9" max="12" width="16.7109375" style="3" customWidth="1"/>
    <col min="13" max="13" width="10.7109375" style="12" customWidth="1"/>
    <col min="14" max="14" width="10.7109375" style="5" customWidth="1"/>
    <col min="15" max="15" width="18.140625" style="6" customWidth="1"/>
    <col min="16" max="16" width="19.00390625" style="3" customWidth="1"/>
    <col min="17" max="17" width="18.7109375" style="3" customWidth="1"/>
    <col min="18" max="16384" width="8.8515625" style="3" customWidth="1"/>
  </cols>
  <sheetData>
    <row r="1" spans="1:13" ht="15" customHeight="1">
      <c r="A1" s="90" t="s">
        <v>38</v>
      </c>
      <c r="B1" s="90"/>
      <c r="C1" s="90"/>
      <c r="D1" s="90"/>
      <c r="E1" s="90"/>
      <c r="F1" s="90"/>
      <c r="G1" s="90"/>
      <c r="H1" s="90"/>
      <c r="I1" s="14"/>
      <c r="J1" s="14"/>
      <c r="K1" s="14"/>
      <c r="L1" s="14"/>
      <c r="M1" s="19"/>
    </row>
    <row r="2" spans="1:13" ht="15" customHeight="1">
      <c r="A2" s="14"/>
      <c r="B2" s="20"/>
      <c r="C2" s="21"/>
      <c r="D2" s="20"/>
      <c r="E2" s="22"/>
      <c r="F2" s="23"/>
      <c r="G2" s="23"/>
      <c r="H2" s="24"/>
      <c r="I2" s="23"/>
      <c r="J2" s="23"/>
      <c r="K2" s="23"/>
      <c r="L2" s="23"/>
      <c r="M2" s="19"/>
    </row>
    <row r="3" spans="1:13" ht="15" customHeight="1">
      <c r="A3" s="14"/>
      <c r="B3" s="13"/>
      <c r="C3" s="25"/>
      <c r="D3" s="16"/>
      <c r="E3" s="17"/>
      <c r="F3" s="14"/>
      <c r="G3" s="89"/>
      <c r="H3" s="89"/>
      <c r="I3" s="14"/>
      <c r="J3" s="14"/>
      <c r="K3" s="14"/>
      <c r="L3" s="14"/>
      <c r="M3" s="19"/>
    </row>
    <row r="4" spans="1:17" s="2" customFormat="1" ht="19.5" customHeight="1">
      <c r="A4" s="16"/>
      <c r="B4" s="70" t="s">
        <v>20</v>
      </c>
      <c r="C4" s="13" t="s">
        <v>27</v>
      </c>
      <c r="D4" s="13" t="s">
        <v>3</v>
      </c>
      <c r="E4" s="26" t="s">
        <v>7</v>
      </c>
      <c r="F4" s="13" t="s">
        <v>6</v>
      </c>
      <c r="G4" s="91" t="s">
        <v>0</v>
      </c>
      <c r="H4" s="91"/>
      <c r="I4" s="27" t="s">
        <v>30</v>
      </c>
      <c r="J4" s="28" t="s">
        <v>34</v>
      </c>
      <c r="K4" s="13" t="s">
        <v>8</v>
      </c>
      <c r="L4" s="13" t="s">
        <v>8</v>
      </c>
      <c r="M4" s="29"/>
      <c r="O4" s="81"/>
      <c r="P4" s="82"/>
      <c r="Q4" s="82"/>
    </row>
    <row r="5" spans="1:16" ht="15" customHeight="1">
      <c r="A5" s="14"/>
      <c r="B5" s="70" t="s">
        <v>21</v>
      </c>
      <c r="C5" s="25"/>
      <c r="D5" s="13"/>
      <c r="E5" s="30"/>
      <c r="F5" s="31"/>
      <c r="G5" s="93">
        <v>100</v>
      </c>
      <c r="H5" s="93"/>
      <c r="I5" s="14"/>
      <c r="J5" s="32" t="s">
        <v>31</v>
      </c>
      <c r="K5" s="13" t="s">
        <v>36</v>
      </c>
      <c r="L5" s="13" t="s">
        <v>37</v>
      </c>
      <c r="M5" s="19"/>
      <c r="P5" s="2"/>
    </row>
    <row r="6" spans="1:13" ht="15" customHeight="1">
      <c r="A6" s="14"/>
      <c r="B6" s="70" t="s">
        <v>21</v>
      </c>
      <c r="C6" s="25"/>
      <c r="D6" s="13"/>
      <c r="E6" s="30"/>
      <c r="F6" s="31"/>
      <c r="G6" s="94"/>
      <c r="H6" s="94"/>
      <c r="I6" s="33">
        <v>100</v>
      </c>
      <c r="J6" s="34"/>
      <c r="K6" s="35"/>
      <c r="L6" s="36"/>
      <c r="M6" s="37"/>
    </row>
    <row r="7" spans="1:17" ht="19.5" customHeight="1">
      <c r="A7" s="14"/>
      <c r="B7" s="70" t="s">
        <v>22</v>
      </c>
      <c r="C7" s="25" t="s">
        <v>19</v>
      </c>
      <c r="D7" s="13">
        <v>0</v>
      </c>
      <c r="E7" s="38">
        <v>50000</v>
      </c>
      <c r="F7" s="39">
        <v>1</v>
      </c>
      <c r="G7" s="85">
        <f>E7/(F7)</f>
        <v>50000</v>
      </c>
      <c r="H7" s="85"/>
      <c r="I7" s="40">
        <f>$E$20/E20</f>
        <v>1</v>
      </c>
      <c r="J7" s="77">
        <f>IF(D8-D7&gt;=(1/12),ROUNDDOWN(E7/(150%*(D8-D7)),-3),"Meaningless")</f>
        <v>11000</v>
      </c>
      <c r="K7" s="41">
        <f>L7*E7</f>
        <v>23998110.355849694</v>
      </c>
      <c r="L7" s="42">
        <f>$F$25*$C$25/F20</f>
        <v>479.9622071169939</v>
      </c>
      <c r="M7" s="37"/>
      <c r="P7" s="83"/>
      <c r="Q7" s="80"/>
    </row>
    <row r="8" spans="1:17" ht="19.5" customHeight="1">
      <c r="A8" s="14"/>
      <c r="B8" s="70" t="s">
        <v>23</v>
      </c>
      <c r="C8" s="25" t="s">
        <v>4</v>
      </c>
      <c r="D8" s="43">
        <v>3</v>
      </c>
      <c r="E8" s="38">
        <v>500000</v>
      </c>
      <c r="F8" s="72">
        <v>0.3333333333</v>
      </c>
      <c r="G8" s="85">
        <f>E8/(F8)</f>
        <v>1500000.0001500002</v>
      </c>
      <c r="H8" s="85"/>
      <c r="I8" s="40">
        <f>$E$20/E21</f>
        <v>0.6472491909708739</v>
      </c>
      <c r="J8" s="77">
        <f>IF(D9-D8&gt;=(1/12),ROUNDDOWN(E8/(150%*(D9-D8)),-3),"Meaningless")</f>
        <v>37000</v>
      </c>
      <c r="K8" s="41">
        <f>L8*E8</f>
        <v>12359026.831408735</v>
      </c>
      <c r="L8" s="42">
        <f>$F$25*$C$25/F21</f>
        <v>24.71805366281747</v>
      </c>
      <c r="M8" s="45"/>
      <c r="P8" s="83"/>
      <c r="Q8" s="80"/>
    </row>
    <row r="9" spans="1:17" ht="19.5" customHeight="1">
      <c r="A9" s="14"/>
      <c r="B9" s="70" t="s">
        <v>21</v>
      </c>
      <c r="C9" s="25" t="s">
        <v>13</v>
      </c>
      <c r="D9" s="43">
        <v>12</v>
      </c>
      <c r="E9" s="38">
        <v>2500000</v>
      </c>
      <c r="F9" s="72">
        <v>0.4</v>
      </c>
      <c r="G9" s="85">
        <f>E9/(F9)</f>
        <v>6250000</v>
      </c>
      <c r="H9" s="85"/>
      <c r="I9" s="40">
        <f>$E$20/E22</f>
        <v>0.36697247708155883</v>
      </c>
      <c r="J9" s="77">
        <f>IF(D10-D9&gt;=(1/12),ROUNDDOWN(E9/(150%*(D10-D9)),-3),"Meaningless")</f>
        <v>138000</v>
      </c>
      <c r="K9" s="41">
        <f>L9*E9</f>
        <v>26157940.28664026</v>
      </c>
      <c r="L9" s="42">
        <f>$F$25*$C$25/F22</f>
        <v>10.463176114656104</v>
      </c>
      <c r="M9" s="45"/>
      <c r="P9" s="83"/>
      <c r="Q9" s="80"/>
    </row>
    <row r="10" spans="1:17" ht="19.5" customHeight="1">
      <c r="A10" s="14"/>
      <c r="B10" s="70" t="s">
        <v>20</v>
      </c>
      <c r="C10" s="25" t="s">
        <v>14</v>
      </c>
      <c r="D10" s="43">
        <v>24</v>
      </c>
      <c r="E10" s="38">
        <v>4500000</v>
      </c>
      <c r="F10" s="72">
        <v>0.2</v>
      </c>
      <c r="G10" s="85">
        <f>E10/(F10)</f>
        <v>22500000</v>
      </c>
      <c r="H10" s="85"/>
      <c r="I10" s="40">
        <f>$E$20/E23</f>
        <v>0.2811950790988415</v>
      </c>
      <c r="J10" s="77">
        <f>IF(D11-D10&gt;=(1/12),ROUNDDOWN(E10/(150%*(D11-D10)),-3),"Meaningless")</f>
        <v>166000</v>
      </c>
      <c r="K10" s="41">
        <f>L10*E10</f>
        <v>17068655.989825655</v>
      </c>
      <c r="L10" s="42">
        <f>$F$25*$C$25/F23</f>
        <v>3.7930346644057007</v>
      </c>
      <c r="M10" s="45"/>
      <c r="P10" s="83"/>
      <c r="Q10" s="80"/>
    </row>
    <row r="11" spans="1:17" ht="19.5" customHeight="1">
      <c r="A11" s="14"/>
      <c r="B11" s="71" t="s">
        <v>35</v>
      </c>
      <c r="C11" s="25" t="s">
        <v>18</v>
      </c>
      <c r="D11" s="43">
        <v>42</v>
      </c>
      <c r="E11" s="38">
        <v>7500000</v>
      </c>
      <c r="F11" s="72">
        <v>0.1</v>
      </c>
      <c r="G11" s="85">
        <f>E11/(F11)</f>
        <v>75000000</v>
      </c>
      <c r="H11" s="85"/>
      <c r="I11" s="40">
        <f>$E$20/E24</f>
        <v>0.24088323855169416</v>
      </c>
      <c r="J11" s="77">
        <f>IF(D12-D11&gt;=(1/12),ROUNDDOWN(E11/(150%*(D12-D11)),-3),"Meaningless")</f>
        <v>833000</v>
      </c>
      <c r="K11" s="41">
        <f>L11*E11</f>
        <v>9962548.868131245</v>
      </c>
      <c r="L11" s="42">
        <f>$F$25*$C$25/F24</f>
        <v>1.328339849084166</v>
      </c>
      <c r="M11" s="45"/>
      <c r="P11" s="83"/>
      <c r="Q11" s="80"/>
    </row>
    <row r="12" spans="1:17" ht="19.5" customHeight="1">
      <c r="A12" s="14"/>
      <c r="B12" s="70" t="s">
        <v>23</v>
      </c>
      <c r="C12" s="25" t="s">
        <v>32</v>
      </c>
      <c r="D12" s="43">
        <v>48</v>
      </c>
      <c r="E12" s="38">
        <v>20000000</v>
      </c>
      <c r="F12" s="72">
        <v>0.1652</v>
      </c>
      <c r="G12" s="85">
        <f>E12/F12</f>
        <v>121065375.30266343</v>
      </c>
      <c r="H12" s="85"/>
      <c r="I12" s="44">
        <f>$C$25*$E$20/E25</f>
        <v>0.19822439153931848</v>
      </c>
      <c r="J12" s="77" t="str">
        <f>IF(D13-D12&gt;=(1/12),ROUNDDOWN(E12/(150%*(D13-D12)),-3),"Meaningless")</f>
        <v>Meaningless</v>
      </c>
      <c r="K12" s="41">
        <f>L12*E12</f>
        <v>20000000</v>
      </c>
      <c r="L12" s="47">
        <f>$F$25*C25/(F25*C25)</f>
        <v>1</v>
      </c>
      <c r="M12" s="45"/>
      <c r="P12" s="83"/>
      <c r="Q12" s="80"/>
    </row>
    <row r="13" spans="1:17" ht="15" customHeight="1">
      <c r="A13" s="14"/>
      <c r="B13" s="14"/>
      <c r="C13" s="25"/>
      <c r="D13" s="76">
        <f>D12</f>
        <v>48</v>
      </c>
      <c r="E13" s="48"/>
      <c r="F13" s="31"/>
      <c r="G13" s="31"/>
      <c r="H13" s="34"/>
      <c r="I13" s="33">
        <f>5*$I$6</f>
        <v>500</v>
      </c>
      <c r="J13" s="33"/>
      <c r="K13" s="80"/>
      <c r="L13" s="49" t="s">
        <v>16</v>
      </c>
      <c r="M13" s="19"/>
      <c r="O13" s="11"/>
      <c r="P13" s="10"/>
      <c r="Q13" s="80"/>
    </row>
    <row r="14" spans="1:17" ht="15" customHeight="1">
      <c r="A14" s="14"/>
      <c r="B14" s="50"/>
      <c r="C14" s="51"/>
      <c r="D14" s="52"/>
      <c r="E14" s="53"/>
      <c r="F14" s="50"/>
      <c r="G14" s="50"/>
      <c r="H14" s="54"/>
      <c r="I14" s="55"/>
      <c r="J14" s="55"/>
      <c r="K14" s="79"/>
      <c r="L14" s="56"/>
      <c r="M14" s="19"/>
      <c r="O14" s="11"/>
      <c r="P14" s="10"/>
      <c r="Q14" s="80"/>
    </row>
    <row r="15" spans="1:16" ht="15" customHeight="1">
      <c r="A15" s="14"/>
      <c r="B15" s="13"/>
      <c r="C15" s="25"/>
      <c r="D15" s="13"/>
      <c r="E15" s="57"/>
      <c r="F15" s="31"/>
      <c r="G15" s="31"/>
      <c r="H15" s="34"/>
      <c r="I15" s="33"/>
      <c r="J15" s="33"/>
      <c r="K15" s="35"/>
      <c r="L15" s="49"/>
      <c r="M15" s="19"/>
      <c r="O15" s="11"/>
      <c r="P15" s="10"/>
    </row>
    <row r="16" spans="1:13" ht="15" customHeight="1">
      <c r="A16" s="14"/>
      <c r="B16" s="14"/>
      <c r="C16" s="25"/>
      <c r="D16" s="13"/>
      <c r="E16" s="30"/>
      <c r="F16" s="31"/>
      <c r="G16" s="31"/>
      <c r="H16" s="34"/>
      <c r="I16" s="31"/>
      <c r="J16" s="31"/>
      <c r="K16" s="58">
        <f>SUM(K7:K14)</f>
        <v>109546282.3318556</v>
      </c>
      <c r="L16" s="49" t="s">
        <v>17</v>
      </c>
      <c r="M16" s="19"/>
    </row>
    <row r="17" spans="1:14" s="2" customFormat="1" ht="19.5" customHeight="1">
      <c r="A17" s="16"/>
      <c r="B17" s="70" t="s">
        <v>24</v>
      </c>
      <c r="C17" s="13" t="str">
        <f>C4</f>
        <v>ROUND OF CAPITAL RAISING</v>
      </c>
      <c r="D17" s="13" t="s">
        <v>3</v>
      </c>
      <c r="E17" s="26" t="s">
        <v>1</v>
      </c>
      <c r="F17" s="13" t="s">
        <v>2</v>
      </c>
      <c r="G17" s="86" t="s">
        <v>33</v>
      </c>
      <c r="H17" s="86"/>
      <c r="I17" s="86"/>
      <c r="J17" s="86"/>
      <c r="K17" s="13" t="s">
        <v>28</v>
      </c>
      <c r="L17" s="13" t="s">
        <v>28</v>
      </c>
      <c r="M17" s="29"/>
      <c r="N17" s="8"/>
    </row>
    <row r="18" spans="1:14" s="2" customFormat="1" ht="15" customHeight="1">
      <c r="A18" s="16"/>
      <c r="B18" s="70" t="s">
        <v>23</v>
      </c>
      <c r="C18" s="59"/>
      <c r="D18" s="13"/>
      <c r="E18" s="26" t="s">
        <v>15</v>
      </c>
      <c r="F18" s="13"/>
      <c r="G18" s="91" t="s">
        <v>11</v>
      </c>
      <c r="H18" s="91"/>
      <c r="I18" s="86" t="s">
        <v>12</v>
      </c>
      <c r="J18" s="86"/>
      <c r="K18" s="13" t="s">
        <v>10</v>
      </c>
      <c r="L18" s="13" t="s">
        <v>9</v>
      </c>
      <c r="M18" s="29"/>
      <c r="N18" s="8"/>
    </row>
    <row r="19" spans="1:13" ht="15" customHeight="1">
      <c r="A19" s="14"/>
      <c r="B19" s="70" t="s">
        <v>22</v>
      </c>
      <c r="C19" s="25"/>
      <c r="D19" s="13"/>
      <c r="E19" s="60">
        <v>10000</v>
      </c>
      <c r="F19" s="31"/>
      <c r="G19" s="92"/>
      <c r="H19" s="92"/>
      <c r="I19" s="86"/>
      <c r="J19" s="86"/>
      <c r="K19" s="31"/>
      <c r="L19" s="31"/>
      <c r="M19" s="19"/>
    </row>
    <row r="20" spans="1:13" ht="19.5" customHeight="1">
      <c r="A20" s="14"/>
      <c r="B20" s="70"/>
      <c r="C20" s="25" t="str">
        <f aca="true" t="shared" si="0" ref="C20:D24">C7</f>
        <v>FOUNDERS, FAMILY &amp; FRIENDS</v>
      </c>
      <c r="D20" s="13">
        <f t="shared" si="0"/>
        <v>0</v>
      </c>
      <c r="E20" s="61">
        <v>10000</v>
      </c>
      <c r="F20" s="62">
        <f aca="true" t="shared" si="1" ref="F20:F25">G7/E20</f>
        <v>5</v>
      </c>
      <c r="G20" s="88">
        <f>(10^((1/($D21-$D20))*LOG($F21/$F20)))-100%</f>
        <v>1.6878039654665442</v>
      </c>
      <c r="H20" s="88"/>
      <c r="I20" s="87" t="s">
        <v>29</v>
      </c>
      <c r="J20" s="87"/>
      <c r="K20" s="44">
        <f>IF(D12-D20&gt;=(1/12),10^(LOG($F$25*C25/F20)/($D$12-D20))-100%,"Meaningless")</f>
        <v>0.13725663699061563</v>
      </c>
      <c r="L20" s="44">
        <f>IF(K20="Meaningless","Meaningless",((K20+100%)^12)-100%)</f>
        <v>3.6806025020955477</v>
      </c>
      <c r="M20" s="19"/>
    </row>
    <row r="21" spans="1:13" ht="19.5" customHeight="1">
      <c r="A21" s="14"/>
      <c r="B21" s="70" t="s">
        <v>25</v>
      </c>
      <c r="C21" s="25" t="str">
        <f t="shared" si="0"/>
        <v>ANGEL CAPITAL</v>
      </c>
      <c r="D21" s="13">
        <f t="shared" si="0"/>
        <v>3</v>
      </c>
      <c r="E21" s="30">
        <f>($E20+($G$5*($D21-$D20)))/(100%-$F8)</f>
        <v>15449.999999227499</v>
      </c>
      <c r="F21" s="62">
        <f t="shared" si="1"/>
        <v>97.08737865533983</v>
      </c>
      <c r="G21" s="88">
        <f>(10^((1/($D22-$D21))*LOG($F22/$F21)))-100%</f>
        <v>0.1002298286158747</v>
      </c>
      <c r="H21" s="88"/>
      <c r="I21" s="84">
        <f>((100%+$G21)^12)-100%</f>
        <v>2.1463061596850417</v>
      </c>
      <c r="J21" s="84"/>
      <c r="K21" s="44">
        <f>IF(D12-D21&gt;=(1/12),10^(LOG($F$25*C25/F21)/($D$12-D21))-1,"Meaningless")</f>
        <v>0.07388029314871947</v>
      </c>
      <c r="L21" s="44">
        <f>IF(K21="Meaningless","Meaningless",((K21+100%)^12)-100%)</f>
        <v>1.352179562629813</v>
      </c>
      <c r="M21" s="19"/>
    </row>
    <row r="22" spans="1:13" ht="19.5" customHeight="1">
      <c r="A22" s="14"/>
      <c r="B22" s="70" t="s">
        <v>26</v>
      </c>
      <c r="C22" s="25" t="str">
        <f t="shared" si="0"/>
        <v>VENTURE CAPITAL (FIRST)</v>
      </c>
      <c r="D22" s="13">
        <f t="shared" si="0"/>
        <v>12</v>
      </c>
      <c r="E22" s="30">
        <f>($E21+($G$5*($D22-$D21)))/(100%-$F9)</f>
        <v>27249.999998712497</v>
      </c>
      <c r="F22" s="62">
        <f t="shared" si="1"/>
        <v>229.35779817597427</v>
      </c>
      <c r="G22" s="88">
        <f>(10^((1/($D23-$D22))*LOG($F23/$F22)))-100%</f>
        <v>0.08823592877176023</v>
      </c>
      <c r="H22" s="88"/>
      <c r="I22" s="84">
        <f>((100%+$G22)^12)-100%</f>
        <v>1.7585237258293005</v>
      </c>
      <c r="J22" s="84"/>
      <c r="K22" s="44">
        <f>IF(D12-D22&gt;=(1/12),10^(LOG($F$25*C25/F22)/($D$12-D22))-1,"Meaningless")</f>
        <v>0.06739210718012911</v>
      </c>
      <c r="L22" s="44">
        <f>IF(K22="Meaningless","Meaningless",((K22+100%)^12)-100%)</f>
        <v>1.187196715872267</v>
      </c>
      <c r="M22" s="19"/>
    </row>
    <row r="23" spans="1:13" ht="19.5" customHeight="1">
      <c r="A23" s="14"/>
      <c r="B23" s="70" t="s">
        <v>20</v>
      </c>
      <c r="C23" s="25" t="str">
        <f t="shared" si="0"/>
        <v>VENTURE CAPITAL (SECOND)</v>
      </c>
      <c r="D23" s="13">
        <f t="shared" si="0"/>
        <v>24</v>
      </c>
      <c r="E23" s="30">
        <f>($E22+($G$5*($D23-$D22)))/(100%-$F10)</f>
        <v>35562.49999839062</v>
      </c>
      <c r="F23" s="62">
        <f t="shared" si="1"/>
        <v>632.6889279723933</v>
      </c>
      <c r="G23" s="88">
        <f>(10^((1/($D24-$D23))*LOG($F24/$F23)))-100%</f>
        <v>0.06002332771854779</v>
      </c>
      <c r="H23" s="88"/>
      <c r="I23" s="84">
        <f>((100%+$G23)^12)-100%</f>
        <v>1.0127279318542919</v>
      </c>
      <c r="J23" s="84"/>
      <c r="K23" s="44">
        <f>IF(D12-D23&gt;=(1/12),10^(LOG($F$25*C25/F23)/($D$12-D23))-1,"Meaningless")</f>
        <v>0.057120391950463256</v>
      </c>
      <c r="L23" s="44">
        <f>IF(K23="Meaningless","Meaningless",((K23+100%)^12)-100%)</f>
        <v>0.9475714786383851</v>
      </c>
      <c r="M23" s="19"/>
    </row>
    <row r="24" spans="1:13" ht="19.5" customHeight="1">
      <c r="A24" s="14"/>
      <c r="B24" s="70" t="s">
        <v>22</v>
      </c>
      <c r="C24" s="25" t="str">
        <f t="shared" si="0"/>
        <v>BRIDGE FINANCING</v>
      </c>
      <c r="D24" s="13">
        <f t="shared" si="0"/>
        <v>42</v>
      </c>
      <c r="E24" s="30">
        <f>($E23+($G$5*($D24-$D23)))/(100%-$F11)</f>
        <v>41513.888887100686</v>
      </c>
      <c r="F24" s="62">
        <f t="shared" si="1"/>
        <v>1806.6242891377062</v>
      </c>
      <c r="G24" s="88">
        <f>(10^((1/($D25-$D24))*LOG($F25*$C$25/$F24)))-100%</f>
        <v>0.04845919677567978</v>
      </c>
      <c r="H24" s="88"/>
      <c r="I24" s="84">
        <f>((100%+$G24)^12)-100%</f>
        <v>0.7644867546649463</v>
      </c>
      <c r="J24" s="84"/>
      <c r="K24" s="44">
        <f>IF(D12-D24&gt;=(1/12),10^(LOG($F$25*C25/F24)/($D$12-D24))-1,"Meaningless")</f>
        <v>0.04845919677567978</v>
      </c>
      <c r="L24" s="44">
        <f>IF(K24="Meaningless","Meaningless",((K24+100%)^12)-100%)</f>
        <v>0.7644867546649463</v>
      </c>
      <c r="M24" s="19"/>
    </row>
    <row r="25" spans="1:13" ht="19.5" customHeight="1">
      <c r="A25" s="14"/>
      <c r="B25" s="70" t="s">
        <v>23</v>
      </c>
      <c r="C25" s="63">
        <v>200</v>
      </c>
      <c r="D25" s="13">
        <f>D12</f>
        <v>48</v>
      </c>
      <c r="E25" s="30">
        <f>($E24+($G$5*($D25-$D24)))*((100%)/(100%-$F12))*C25</f>
        <v>10089575.67970788</v>
      </c>
      <c r="F25" s="62">
        <f t="shared" si="1"/>
        <v>11.999055177924847</v>
      </c>
      <c r="G25" s="91" t="s">
        <v>5</v>
      </c>
      <c r="H25" s="91"/>
      <c r="I25" s="86" t="s">
        <v>5</v>
      </c>
      <c r="J25" s="86"/>
      <c r="K25" s="78" t="s">
        <v>5</v>
      </c>
      <c r="L25" s="78" t="str">
        <f>IF(K25="Meaningless","Meaningless","??")</f>
        <v>Meaningless</v>
      </c>
      <c r="M25" s="19"/>
    </row>
    <row r="26" spans="1:13" ht="19.5" customHeight="1">
      <c r="A26" s="14"/>
      <c r="B26" s="30"/>
      <c r="C26" s="63"/>
      <c r="D26" s="73"/>
      <c r="E26" s="30"/>
      <c r="F26" s="62"/>
      <c r="G26" s="75"/>
      <c r="H26" s="75"/>
      <c r="I26" s="73"/>
      <c r="J26" s="73"/>
      <c r="K26" s="74"/>
      <c r="L26" s="74"/>
      <c r="M26" s="19"/>
    </row>
    <row r="27" spans="1:13" ht="15" customHeight="1">
      <c r="A27" s="14"/>
      <c r="B27" s="52"/>
      <c r="C27" s="51"/>
      <c r="D27" s="55">
        <v>50</v>
      </c>
      <c r="E27" s="64"/>
      <c r="F27" s="50"/>
      <c r="G27" s="50"/>
      <c r="H27" s="54"/>
      <c r="I27" s="50"/>
      <c r="J27" s="50"/>
      <c r="K27" s="50"/>
      <c r="L27" s="50"/>
      <c r="M27" s="19"/>
    </row>
    <row r="28" spans="1:15" ht="15" customHeight="1">
      <c r="A28" s="14"/>
      <c r="B28" s="13"/>
      <c r="C28" s="25"/>
      <c r="D28" s="13"/>
      <c r="E28" s="30"/>
      <c r="F28" s="65"/>
      <c r="G28" s="65"/>
      <c r="H28" s="66"/>
      <c r="I28" s="67"/>
      <c r="J28" s="67"/>
      <c r="K28" s="68"/>
      <c r="L28" s="46"/>
      <c r="M28" s="19"/>
      <c r="O28" s="11"/>
    </row>
    <row r="29" spans="1:13" ht="15" customHeight="1">
      <c r="A29" s="14"/>
      <c r="B29" s="13"/>
      <c r="C29" s="69"/>
      <c r="D29" s="69"/>
      <c r="E29" s="17"/>
      <c r="F29" s="14"/>
      <c r="G29" s="14"/>
      <c r="H29" s="18"/>
      <c r="I29" s="14"/>
      <c r="J29" s="14"/>
      <c r="K29" s="14"/>
      <c r="L29" s="14"/>
      <c r="M29" s="19"/>
    </row>
    <row r="30" spans="1:13" ht="15" customHeight="1">
      <c r="A30" s="14"/>
      <c r="B30" s="13"/>
      <c r="C30" s="15"/>
      <c r="D30" s="16"/>
      <c r="E30" s="17"/>
      <c r="F30" s="14"/>
      <c r="G30" s="14"/>
      <c r="H30" s="18"/>
      <c r="I30" s="14"/>
      <c r="J30" s="14"/>
      <c r="K30" s="14"/>
      <c r="L30" s="14"/>
      <c r="M30" s="19"/>
    </row>
  </sheetData>
  <sheetProtection/>
  <mergeCells count="28">
    <mergeCell ref="A1:H1"/>
    <mergeCell ref="I25:J25"/>
    <mergeCell ref="G4:H4"/>
    <mergeCell ref="G18:H18"/>
    <mergeCell ref="G19:H19"/>
    <mergeCell ref="G20:H20"/>
    <mergeCell ref="G10:H10"/>
    <mergeCell ref="G11:H11"/>
    <mergeCell ref="G22:H22"/>
    <mergeCell ref="G23:H23"/>
    <mergeCell ref="G24:H24"/>
    <mergeCell ref="G25:H25"/>
    <mergeCell ref="G5:H5"/>
    <mergeCell ref="G17:J17"/>
    <mergeCell ref="G6:H6"/>
    <mergeCell ref="G7:H7"/>
    <mergeCell ref="G8:H8"/>
    <mergeCell ref="G3:H3"/>
    <mergeCell ref="G12:H12"/>
    <mergeCell ref="I22:J22"/>
    <mergeCell ref="I23:J23"/>
    <mergeCell ref="I24:J24"/>
    <mergeCell ref="G9:H9"/>
    <mergeCell ref="I18:J18"/>
    <mergeCell ref="I19:J19"/>
    <mergeCell ref="I20:J20"/>
    <mergeCell ref="I21:J21"/>
    <mergeCell ref="G21:H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Technology Financing Pro-forma</dc:title>
  <dc:subject/>
  <dc:creator>Jim Cook</dc:creator>
  <cp:keywords/>
  <dc:description/>
  <cp:lastModifiedBy>TOSHIBA</cp:lastModifiedBy>
  <dcterms:created xsi:type="dcterms:W3CDTF">2001-12-02T16:39:43Z</dcterms:created>
  <dcterms:modified xsi:type="dcterms:W3CDTF">2017-08-14T23:38:04Z</dcterms:modified>
  <cp:category/>
  <cp:version/>
  <cp:contentType/>
  <cp:contentStatus/>
</cp:coreProperties>
</file>